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45" windowWidth="15960" windowHeight="16320" activeTab="0"/>
  </bookViews>
  <sheets>
    <sheet name="СМЕТА на общестроит.работы" sheetId="1" r:id="rId1"/>
    <sheet name="ЭЛЕКТРОМОНТАЖ " sheetId="2" r:id="rId2"/>
  </sheets>
  <definedNames/>
  <calcPr fullCalcOnLoad="1" refMode="R1C1"/>
</workbook>
</file>

<file path=xl/sharedStrings.xml><?xml version="1.0" encoding="utf-8"?>
<sst xmlns="http://schemas.openxmlformats.org/spreadsheetml/2006/main" count="88" uniqueCount="78">
  <si>
    <t xml:space="preserve">Детская </t>
  </si>
  <si>
    <t>Спальня</t>
  </si>
  <si>
    <t>Гостиная</t>
  </si>
  <si>
    <t>Лоджия</t>
  </si>
  <si>
    <t>Кухня</t>
  </si>
  <si>
    <t>Туалет</t>
  </si>
  <si>
    <t>Ванная</t>
  </si>
  <si>
    <t>Грунтование пола (2 слоя)</t>
  </si>
  <si>
    <t>Заливка пола</t>
  </si>
  <si>
    <t>Укладка ламината</t>
  </si>
  <si>
    <t xml:space="preserve">Укладка плитки </t>
  </si>
  <si>
    <t>Установка плинтуса</t>
  </si>
  <si>
    <t>Изготовление , установка калошницы</t>
  </si>
  <si>
    <t>Установка порога</t>
  </si>
  <si>
    <t>Раскладка теплого пола</t>
  </si>
  <si>
    <t>Гидроизоляция пола</t>
  </si>
  <si>
    <t>Изготовление подиума (душ)</t>
  </si>
  <si>
    <t>Радиусные стыковки плитка-ламинат</t>
  </si>
  <si>
    <t>Детская</t>
  </si>
  <si>
    <t>Общее кол-во</t>
  </si>
  <si>
    <t>Демонтаж пазогр.стен (алмазный рез)</t>
  </si>
  <si>
    <t xml:space="preserve">Демонтаж в несущей стене </t>
  </si>
  <si>
    <t>Возведение простенков (п.м) +дверной проем</t>
  </si>
  <si>
    <t>Изготовление коробов (1 плоскость)</t>
  </si>
  <si>
    <t>Установка армирующих уголков</t>
  </si>
  <si>
    <t>Грунтование (3 слоя)</t>
  </si>
  <si>
    <t xml:space="preserve">Штукатурка </t>
  </si>
  <si>
    <t>Шпаклевание (2 слоя)</t>
  </si>
  <si>
    <t>Обои</t>
  </si>
  <si>
    <t xml:space="preserve">Установка люка невидимки </t>
  </si>
  <si>
    <t xml:space="preserve">Плитка </t>
  </si>
  <si>
    <t>Мазайка</t>
  </si>
  <si>
    <t xml:space="preserve">Гидроизоляция </t>
  </si>
  <si>
    <t>Фреска</t>
  </si>
  <si>
    <t xml:space="preserve">Бетоконтакт </t>
  </si>
  <si>
    <t>Откосы подготовка под покраску</t>
  </si>
  <si>
    <t>ЗАДЕЛКА ШТРОБ (кондиционер )</t>
  </si>
  <si>
    <t xml:space="preserve">ЭЛЕКТРОМОНТАЖ </t>
  </si>
  <si>
    <t>Прихож.коридор</t>
  </si>
  <si>
    <t>Установка эл. Щита + (выдалбливание)</t>
  </si>
  <si>
    <t xml:space="preserve">Перенос вводного кабеля </t>
  </si>
  <si>
    <t>Прокладка эл.кабеля (220в)  (ПО ФАКТУ)</t>
  </si>
  <si>
    <t xml:space="preserve">Прокладка слаботочного каб (ПО ФАКТУ)  </t>
  </si>
  <si>
    <t>Штробление бетон.   (ПО ФАКТУ)</t>
  </si>
  <si>
    <t>Штробление кирпич (ПО ФАКТУ)</t>
  </si>
  <si>
    <t>Заделка ШТРОБЫ (ПО ФАКТУ)</t>
  </si>
  <si>
    <t>Установка ПОДРОЗЕТНИКА в бетон</t>
  </si>
  <si>
    <t>Установка ПОДРОЗЕТНИКА в кирпич</t>
  </si>
  <si>
    <t>Установка распред коробки (ПО ФАКТУ)</t>
  </si>
  <si>
    <t>Установка выкл.,розеток</t>
  </si>
  <si>
    <t>Установка интернет розеток</t>
  </si>
  <si>
    <t>Установка спотов</t>
  </si>
  <si>
    <t>Установка бра</t>
  </si>
  <si>
    <t>Установка люстры</t>
  </si>
  <si>
    <t xml:space="preserve">Установка датчиков теплого пола </t>
  </si>
  <si>
    <t>УСТАНОВКА ВЕНТИЛЯТОРА</t>
  </si>
  <si>
    <t>Прихожая,  Коридор</t>
  </si>
  <si>
    <t>РАБОТЫ С ПОЛОМ</t>
  </si>
  <si>
    <t>СМЕТА</t>
  </si>
  <si>
    <t>на выполнение общестроительных работ</t>
  </si>
  <si>
    <t>на выполнение электромонтажных работ</t>
  </si>
  <si>
    <t>Подъем/разгрузка материала, вынос мусора</t>
  </si>
  <si>
    <t>2000 руб/1 тонна</t>
  </si>
  <si>
    <t>ИТОГО, в руб.</t>
  </si>
  <si>
    <t>Общ.кол-во, м2</t>
  </si>
  <si>
    <t>Сумма, руб.</t>
  </si>
  <si>
    <t>Монтаж межкомнатных дверей</t>
  </si>
  <si>
    <t>Цена, руб.</t>
  </si>
  <si>
    <t>РАБОТЫ СО СТЕНАМИ</t>
  </si>
  <si>
    <t>ИТОГО, с скидкой 7%</t>
  </si>
  <si>
    <t>Заказчик: ЖК "Гагаринские высоты", Н.Новгород, пр.Гагарина</t>
  </si>
  <si>
    <t>(Приложение 1 к договору №   от              2015г.)</t>
  </si>
  <si>
    <t xml:space="preserve">Заказчик:   __________________________/                              /                                                                                            </t>
  </si>
  <si>
    <t xml:space="preserve">                                                                      Подрядчик: __________________________ /                      /                  </t>
  </si>
  <si>
    <t>(Приложение  к договору №   от           2015г.)</t>
  </si>
  <si>
    <t>Заказчик: г. Н.Новгород, пр.Гагарина</t>
  </si>
  <si>
    <t>Заказчик: ________________________ /                         /                                                                  Подрядчик: _________________________ /                     /</t>
  </si>
  <si>
    <t xml:space="preserve">ОБЩАЯ СУММА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</si>
</sst>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2"/>
      <color indexed="8"/>
      <name val="Verdana"/>
      <family val="0"/>
    </font>
    <font>
      <sz val="11"/>
      <color indexed="8"/>
      <name val="Helvetica"/>
      <family val="2"/>
    </font>
    <font>
      <sz val="10"/>
      <color indexed="8"/>
      <name val="Helvetica"/>
      <family val="0"/>
    </font>
    <font>
      <b/>
      <sz val="10"/>
      <color indexed="8"/>
      <name val="Helvetica"/>
      <family val="0"/>
    </font>
    <font>
      <b/>
      <sz val="10"/>
      <name val="Arial Cyr"/>
      <family val="0"/>
    </font>
    <font>
      <b/>
      <sz val="12"/>
      <color indexed="8"/>
      <name val="Helvetica"/>
      <family val="0"/>
    </font>
    <font>
      <b/>
      <sz val="12"/>
      <color indexed="8"/>
      <name val="Verdana"/>
      <family val="2"/>
    </font>
    <font>
      <sz val="12"/>
      <color indexed="8"/>
      <name val="Courier New"/>
      <family val="3"/>
    </font>
    <font>
      <b/>
      <sz val="12"/>
      <color indexed="8"/>
      <name val="Courier New"/>
      <family val="3"/>
    </font>
    <font>
      <sz val="10"/>
      <color indexed="8"/>
      <name val="Courier New"/>
      <family val="3"/>
    </font>
    <font>
      <b/>
      <sz val="14"/>
      <name val="Courier New"/>
      <family val="3"/>
    </font>
    <font>
      <sz val="14"/>
      <color indexed="8"/>
      <name val="Courier New"/>
      <family val="3"/>
    </font>
    <font>
      <sz val="11"/>
      <color indexed="11"/>
      <name val="Helvetica"/>
      <family val="2"/>
    </font>
    <font>
      <sz val="11"/>
      <color indexed="62"/>
      <name val="Helvetica"/>
      <family val="2"/>
    </font>
    <font>
      <b/>
      <sz val="11"/>
      <color indexed="63"/>
      <name val="Helvetica"/>
      <family val="2"/>
    </font>
    <font>
      <b/>
      <sz val="11"/>
      <color indexed="52"/>
      <name val="Helvetica"/>
      <family val="2"/>
    </font>
    <font>
      <b/>
      <sz val="15"/>
      <color indexed="63"/>
      <name val="Helvetica"/>
      <family val="2"/>
    </font>
    <font>
      <b/>
      <sz val="13"/>
      <color indexed="63"/>
      <name val="Helvetica"/>
      <family val="2"/>
    </font>
    <font>
      <b/>
      <sz val="11"/>
      <color indexed="8"/>
      <name val="Helvetica"/>
      <family val="2"/>
    </font>
    <font>
      <b/>
      <sz val="11"/>
      <color indexed="11"/>
      <name val="Helvetica"/>
      <family val="2"/>
    </font>
    <font>
      <b/>
      <sz val="18"/>
      <color indexed="63"/>
      <name val="Helvetica"/>
      <family val="2"/>
    </font>
    <font>
      <sz val="11"/>
      <color indexed="60"/>
      <name val="Helvetica"/>
      <family val="2"/>
    </font>
    <font>
      <sz val="11"/>
      <color indexed="20"/>
      <name val="Helvetica"/>
      <family val="2"/>
    </font>
    <font>
      <i/>
      <sz val="11"/>
      <color indexed="23"/>
      <name val="Helvetica"/>
      <family val="2"/>
    </font>
    <font>
      <sz val="11"/>
      <color indexed="52"/>
      <name val="Helvetica"/>
      <family val="2"/>
    </font>
    <font>
      <sz val="11"/>
      <color indexed="53"/>
      <name val="Helvetica"/>
      <family val="2"/>
    </font>
    <font>
      <sz val="11"/>
      <color indexed="17"/>
      <name val="Helvetica"/>
      <family val="2"/>
    </font>
    <font>
      <sz val="11"/>
      <color theme="1"/>
      <name val="Helvetica"/>
      <family val="2"/>
    </font>
    <font>
      <sz val="11"/>
      <color theme="0"/>
      <name val="Helvetica"/>
      <family val="2"/>
    </font>
    <font>
      <sz val="11"/>
      <color rgb="FF3F3F76"/>
      <name val="Helvetica"/>
      <family val="2"/>
    </font>
    <font>
      <b/>
      <sz val="11"/>
      <color rgb="FF3F3F3F"/>
      <name val="Helvetica"/>
      <family val="2"/>
    </font>
    <font>
      <b/>
      <sz val="11"/>
      <color rgb="FFFA7D00"/>
      <name val="Helvetica"/>
      <family val="2"/>
    </font>
    <font>
      <b/>
      <sz val="15"/>
      <color theme="3"/>
      <name val="Helvetica"/>
      <family val="2"/>
    </font>
    <font>
      <b/>
      <sz val="13"/>
      <color theme="3"/>
      <name val="Helvetica"/>
      <family val="2"/>
    </font>
    <font>
      <b/>
      <sz val="11"/>
      <color theme="3"/>
      <name val="Helvetica"/>
      <family val="2"/>
    </font>
    <font>
      <b/>
      <sz val="11"/>
      <color theme="1"/>
      <name val="Helvetica"/>
      <family val="2"/>
    </font>
    <font>
      <b/>
      <sz val="11"/>
      <color theme="0"/>
      <name val="Helvetica"/>
      <family val="2"/>
    </font>
    <font>
      <b/>
      <sz val="18"/>
      <color theme="3"/>
      <name val="Helvetica"/>
      <family val="2"/>
    </font>
    <font>
      <sz val="11"/>
      <color rgb="FF9C6500"/>
      <name val="Helvetica"/>
      <family val="2"/>
    </font>
    <font>
      <sz val="11"/>
      <color rgb="FF9C0006"/>
      <name val="Helvetica"/>
      <family val="2"/>
    </font>
    <font>
      <i/>
      <sz val="11"/>
      <color rgb="FF7F7F7F"/>
      <name val="Helvetica"/>
      <family val="2"/>
    </font>
    <font>
      <sz val="11"/>
      <color rgb="FFFA7D00"/>
      <name val="Helvetica"/>
      <family val="2"/>
    </font>
    <font>
      <sz val="11"/>
      <color rgb="FFFF0000"/>
      <name val="Helvetica"/>
      <family val="2"/>
    </font>
    <font>
      <sz val="11"/>
      <color rgb="FF006100"/>
      <name val="Helvetica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 applyNumberFormat="0" applyFill="0" applyBorder="0" applyProtection="0">
      <alignment vertical="top" wrapText="1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5">
    <xf numFmtId="0" fontId="0" fillId="0" borderId="0" xfId="0" applyFont="1" applyAlignment="1">
      <alignment vertical="top" wrapText="1"/>
    </xf>
    <xf numFmtId="0" fontId="2" fillId="0" borderId="0" xfId="0" applyNumberFormat="1" applyFont="1" applyAlignment="1">
      <alignment vertical="top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3" fillId="33" borderId="10" xfId="0" applyNumberFormat="1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 wrapText="1"/>
    </xf>
    <xf numFmtId="0" fontId="3" fillId="34" borderId="10" xfId="0" applyNumberFormat="1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NumberFormat="1" applyFont="1" applyBorder="1" applyAlignment="1">
      <alignment horizontal="center" vertical="top" wrapText="1"/>
    </xf>
    <xf numFmtId="0" fontId="2" fillId="35" borderId="10" xfId="0" applyNumberFormat="1" applyFont="1" applyFill="1" applyBorder="1" applyAlignment="1">
      <alignment horizontal="center" vertical="top" wrapText="1"/>
    </xf>
    <xf numFmtId="0" fontId="3" fillId="36" borderId="10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Alignment="1">
      <alignment vertical="top"/>
    </xf>
    <xf numFmtId="0" fontId="5" fillId="0" borderId="0" xfId="0" applyNumberFormat="1" applyFont="1" applyAlignment="1">
      <alignment vertical="top"/>
    </xf>
    <xf numFmtId="0" fontId="7" fillId="0" borderId="0" xfId="0" applyNumberFormat="1" applyFont="1" applyAlignment="1">
      <alignment vertical="top" wrapText="1"/>
    </xf>
    <xf numFmtId="0" fontId="7" fillId="0" borderId="0" xfId="0" applyNumberFormat="1" applyFont="1" applyAlignment="1">
      <alignment horizontal="center" vertical="top" wrapText="1"/>
    </xf>
    <xf numFmtId="0" fontId="8" fillId="37" borderId="10" xfId="0" applyFont="1" applyFill="1" applyBorder="1" applyAlignment="1">
      <alignment horizontal="center" vertical="top" wrapText="1"/>
    </xf>
    <xf numFmtId="0" fontId="8" fillId="37" borderId="10" xfId="0" applyNumberFormat="1" applyFont="1" applyFill="1" applyBorder="1" applyAlignment="1">
      <alignment horizontal="center" vertical="top" wrapText="1"/>
    </xf>
    <xf numFmtId="0" fontId="7" fillId="38" borderId="10" xfId="0" applyNumberFormat="1" applyFont="1" applyFill="1" applyBorder="1" applyAlignment="1">
      <alignment horizontal="center" vertical="top" wrapText="1"/>
    </xf>
    <xf numFmtId="0" fontId="7" fillId="38" borderId="10" xfId="0" applyFont="1" applyFill="1" applyBorder="1" applyAlignment="1">
      <alignment horizontal="center" vertical="top" wrapText="1"/>
    </xf>
    <xf numFmtId="0" fontId="9" fillId="0" borderId="0" xfId="0" applyNumberFormat="1" applyFont="1" applyAlignment="1">
      <alignment vertical="top" wrapText="1"/>
    </xf>
    <xf numFmtId="0" fontId="8" fillId="38" borderId="10" xfId="0" applyNumberFormat="1" applyFont="1" applyFill="1" applyBorder="1" applyAlignment="1">
      <alignment horizontal="center" vertical="top" wrapText="1"/>
    </xf>
    <xf numFmtId="0" fontId="3" fillId="37" borderId="10" xfId="0" applyNumberFormat="1" applyFont="1" applyFill="1" applyBorder="1" applyAlignment="1">
      <alignment horizontal="center" vertical="top" wrapText="1"/>
    </xf>
    <xf numFmtId="0" fontId="2" fillId="38" borderId="10" xfId="0" applyNumberFormat="1" applyFont="1" applyFill="1" applyBorder="1" applyAlignment="1">
      <alignment horizontal="center" vertical="top" wrapText="1"/>
    </xf>
    <xf numFmtId="0" fontId="3" fillId="39" borderId="10" xfId="0" applyNumberFormat="1" applyFont="1" applyFill="1" applyBorder="1" applyAlignment="1">
      <alignment horizontal="center" vertical="top" wrapText="1"/>
    </xf>
    <xf numFmtId="0" fontId="3" fillId="37" borderId="10" xfId="0" applyNumberFormat="1" applyFont="1" applyFill="1" applyBorder="1" applyAlignment="1">
      <alignment horizontal="center" vertical="top" wrapText="1"/>
    </xf>
    <xf numFmtId="0" fontId="7" fillId="37" borderId="10" xfId="0" applyNumberFormat="1" applyFont="1" applyFill="1" applyBorder="1" applyAlignment="1">
      <alignment horizontal="center" vertical="top" wrapText="1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6" fillId="0" borderId="0" xfId="0" applyFont="1" applyAlignment="1">
      <alignment vertical="top"/>
    </xf>
    <xf numFmtId="0" fontId="5" fillId="0" borderId="0" xfId="0" applyNumberFormat="1" applyFont="1" applyAlignment="1">
      <alignment vertical="top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vertical="top" wrapText="1"/>
    </xf>
    <xf numFmtId="0" fontId="4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BDC0BF"/>
      <rgbColor rgb="00DBDBDB"/>
      <rgbColor rgb="00FEFEFE"/>
      <rgbColor rgb="00BFBFBF"/>
      <rgbColor rgb="00E2FFF1"/>
      <rgbColor rgb="00E5CFCE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lank">
      <a:dk1>
        <a:srgbClr val="000000"/>
      </a:dk1>
      <a:lt1>
        <a:sysClr val="window" lastClr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8"/>
  <sheetViews>
    <sheetView showGridLines="0" tabSelected="1" zoomScalePageLayoutView="0" workbookViewId="0" topLeftCell="A1">
      <pane xSplit="1" ySplit="7" topLeftCell="B3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F56" sqref="F56"/>
    </sheetView>
  </sheetViews>
  <sheetFormatPr defaultColWidth="9.09765625" defaultRowHeight="18" customHeight="1"/>
  <cols>
    <col min="1" max="1" width="49.09765625" style="1" customWidth="1"/>
    <col min="2" max="2" width="13.296875" style="1" customWidth="1"/>
    <col min="3" max="3" width="12.5" style="1" customWidth="1"/>
    <col min="4" max="4" width="10.3984375" style="1" customWidth="1"/>
    <col min="5" max="5" width="10.796875" style="1" customWidth="1"/>
    <col min="6" max="6" width="11.19921875" style="1" customWidth="1"/>
    <col min="7" max="7" width="10.3984375" style="1" customWidth="1"/>
    <col min="8" max="8" width="10.59765625" style="1" customWidth="1"/>
    <col min="9" max="9" width="11.3984375" style="1" customWidth="1"/>
    <col min="10" max="10" width="11.19921875" style="1" customWidth="1"/>
    <col min="11" max="12" width="9" style="1" customWidth="1"/>
    <col min="13" max="16384" width="9.09765625" style="1" customWidth="1"/>
  </cols>
  <sheetData>
    <row r="1" spans="1:12" ht="18" customHeight="1">
      <c r="A1" s="26" t="s">
        <v>58</v>
      </c>
      <c r="B1" s="26"/>
      <c r="C1" s="26"/>
      <c r="D1" s="26"/>
      <c r="E1" s="26"/>
      <c r="F1" s="13"/>
      <c r="G1" s="13"/>
      <c r="H1" s="13"/>
      <c r="I1" s="13"/>
      <c r="J1" s="13"/>
      <c r="K1" s="13"/>
      <c r="L1" s="13"/>
    </row>
    <row r="2" spans="1:12" ht="18" customHeight="1">
      <c r="A2" s="27" t="s">
        <v>59</v>
      </c>
      <c r="B2" s="27"/>
      <c r="C2" s="27"/>
      <c r="D2" s="27"/>
      <c r="E2" s="27"/>
      <c r="F2" s="13"/>
      <c r="G2" s="13"/>
      <c r="H2" s="13"/>
      <c r="I2" s="13"/>
      <c r="J2" s="13"/>
      <c r="K2" s="13"/>
      <c r="L2" s="13"/>
    </row>
    <row r="3" spans="1:12" ht="18" customHeight="1">
      <c r="A3" s="27" t="s">
        <v>71</v>
      </c>
      <c r="B3" s="27"/>
      <c r="C3" s="27"/>
      <c r="D3" s="27"/>
      <c r="E3" s="27"/>
      <c r="F3" s="13"/>
      <c r="G3" s="13"/>
      <c r="H3" s="13"/>
      <c r="I3" s="13"/>
      <c r="J3" s="13"/>
      <c r="K3" s="13"/>
      <c r="L3" s="13"/>
    </row>
    <row r="4" spans="1:12" ht="18" customHeight="1">
      <c r="A4" s="26" t="s">
        <v>70</v>
      </c>
      <c r="B4" s="26"/>
      <c r="C4" s="26"/>
      <c r="D4" s="26"/>
      <c r="E4" s="26"/>
      <c r="F4" s="13"/>
      <c r="G4" s="13"/>
      <c r="H4" s="13"/>
      <c r="I4" s="13"/>
      <c r="J4" s="13"/>
      <c r="K4" s="13"/>
      <c r="L4" s="13"/>
    </row>
    <row r="5" spans="1:12" ht="18" customHeight="1">
      <c r="A5" s="26"/>
      <c r="B5" s="26"/>
      <c r="C5" s="26"/>
      <c r="D5" s="26"/>
      <c r="E5" s="26"/>
      <c r="F5" s="13"/>
      <c r="G5" s="13"/>
      <c r="H5" s="13"/>
      <c r="I5" s="13"/>
      <c r="J5" s="13"/>
      <c r="K5" s="13"/>
      <c r="L5" s="13"/>
    </row>
    <row r="6" spans="1:12" ht="9" customHeight="1">
      <c r="A6" s="14"/>
      <c r="B6" s="14"/>
      <c r="C6" s="14"/>
      <c r="D6" s="14"/>
      <c r="E6" s="14"/>
      <c r="F6" s="13"/>
      <c r="G6" s="13"/>
      <c r="H6" s="13"/>
      <c r="I6" s="13"/>
      <c r="J6" s="13"/>
      <c r="K6" s="13"/>
      <c r="L6" s="13"/>
    </row>
    <row r="7" spans="1:12" ht="32.25" customHeight="1">
      <c r="A7" s="15" t="s">
        <v>57</v>
      </c>
      <c r="B7" s="16" t="s">
        <v>0</v>
      </c>
      <c r="C7" s="16" t="s">
        <v>1</v>
      </c>
      <c r="D7" s="16" t="s">
        <v>2</v>
      </c>
      <c r="E7" s="16" t="s">
        <v>3</v>
      </c>
      <c r="F7" s="16" t="s">
        <v>4</v>
      </c>
      <c r="G7" s="16" t="s">
        <v>5</v>
      </c>
      <c r="H7" s="16" t="s">
        <v>6</v>
      </c>
      <c r="I7" s="16" t="s">
        <v>56</v>
      </c>
      <c r="J7" s="16" t="s">
        <v>64</v>
      </c>
      <c r="K7" s="16" t="s">
        <v>67</v>
      </c>
      <c r="L7" s="16" t="s">
        <v>65</v>
      </c>
    </row>
    <row r="8" spans="1:12" ht="17.25" customHeight="1">
      <c r="A8" s="16" t="s">
        <v>7</v>
      </c>
      <c r="B8" s="17">
        <v>15.9</v>
      </c>
      <c r="C8" s="17">
        <v>12.9</v>
      </c>
      <c r="D8" s="17">
        <v>21.12</v>
      </c>
      <c r="E8" s="17">
        <v>1.98</v>
      </c>
      <c r="F8" s="17">
        <v>12.2</v>
      </c>
      <c r="G8" s="17">
        <v>2</v>
      </c>
      <c r="H8" s="17">
        <v>3.7</v>
      </c>
      <c r="I8" s="17">
        <f>7.8+6</f>
        <v>13.8</v>
      </c>
      <c r="J8" s="17">
        <f>I8+H8+G8+F8+E8+D8+C8+B8</f>
        <v>83.60000000000001</v>
      </c>
      <c r="K8" s="17">
        <v>60</v>
      </c>
      <c r="L8" s="17">
        <f>K8*J8</f>
        <v>5016.000000000001</v>
      </c>
    </row>
    <row r="9" spans="1:12" ht="18.75" customHeight="1">
      <c r="A9" s="16" t="s">
        <v>8</v>
      </c>
      <c r="B9" s="17">
        <v>15.9</v>
      </c>
      <c r="C9" s="17">
        <v>12.9</v>
      </c>
      <c r="D9" s="17">
        <v>21.12</v>
      </c>
      <c r="E9" s="17">
        <v>1.98</v>
      </c>
      <c r="F9" s="17">
        <v>12.2</v>
      </c>
      <c r="G9" s="17">
        <v>2</v>
      </c>
      <c r="H9" s="17">
        <v>3.7</v>
      </c>
      <c r="I9" s="17">
        <v>13.8</v>
      </c>
      <c r="J9" s="17">
        <f>I9+H9+G9+F9+E9+D9+C9+B9</f>
        <v>83.60000000000001</v>
      </c>
      <c r="K9" s="17">
        <v>200</v>
      </c>
      <c r="L9" s="17">
        <f>K9*J9</f>
        <v>16720</v>
      </c>
    </row>
    <row r="10" spans="1:12" ht="14.25" customHeight="1">
      <c r="A10" s="16" t="s">
        <v>9</v>
      </c>
      <c r="B10" s="17">
        <v>15.9</v>
      </c>
      <c r="C10" s="17">
        <v>12.9</v>
      </c>
      <c r="D10" s="17">
        <v>21.12</v>
      </c>
      <c r="E10" s="17">
        <v>1.98</v>
      </c>
      <c r="F10" s="17">
        <v>12.2</v>
      </c>
      <c r="G10" s="17"/>
      <c r="H10" s="17"/>
      <c r="I10" s="17">
        <v>7.8</v>
      </c>
      <c r="J10" s="17">
        <f>I10+H10+G10+F10+E10+D10+C10+B10</f>
        <v>71.9</v>
      </c>
      <c r="K10" s="17">
        <v>300</v>
      </c>
      <c r="L10" s="18"/>
    </row>
    <row r="11" spans="1:12" ht="20.25" customHeight="1">
      <c r="A11" s="16" t="s">
        <v>10</v>
      </c>
      <c r="B11" s="17"/>
      <c r="C11" s="17"/>
      <c r="D11" s="17"/>
      <c r="E11" s="17"/>
      <c r="F11" s="17"/>
      <c r="G11" s="17">
        <v>2</v>
      </c>
      <c r="H11" s="17">
        <v>3.7</v>
      </c>
      <c r="I11" s="17">
        <v>6</v>
      </c>
      <c r="J11" s="17">
        <f>I11+H11+G11+F11+E11+D11+C11+B11</f>
        <v>11.7</v>
      </c>
      <c r="K11" s="17">
        <v>700</v>
      </c>
      <c r="L11" s="18"/>
    </row>
    <row r="12" spans="1:12" ht="14.25" customHeight="1">
      <c r="A12" s="16" t="s">
        <v>11</v>
      </c>
      <c r="B12" s="17">
        <f>5.474+0.513+1.496+5.475+0.545+1.757+0.607</f>
        <v>15.866999999999999</v>
      </c>
      <c r="C12" s="17">
        <f>4.77+0.914+0.891+4.77+0.347+1.758+0.6</f>
        <v>14.049999999999999</v>
      </c>
      <c r="D12" s="17">
        <f>5.818+4.192+5.818+4.192-0.7</f>
        <v>19.32</v>
      </c>
      <c r="E12" s="17">
        <f>2.253+2.253+0.841+0.841</f>
        <v>6.188000000000001</v>
      </c>
      <c r="F12" s="17">
        <f>(4.172+0.443)*2+(0.662+1.772+0.483)*2-0.8</f>
        <v>14.264</v>
      </c>
      <c r="G12" s="17"/>
      <c r="H12" s="17"/>
      <c r="I12" s="17"/>
      <c r="J12" s="17">
        <f>I12+H12+G12+F12+E12+D12+C12+B12</f>
        <v>69.689</v>
      </c>
      <c r="K12" s="17">
        <v>100</v>
      </c>
      <c r="L12" s="18"/>
    </row>
    <row r="13" spans="1:12" ht="30.75" customHeight="1">
      <c r="A13" s="16" t="s">
        <v>12</v>
      </c>
      <c r="B13" s="17"/>
      <c r="C13" s="17"/>
      <c r="D13" s="17"/>
      <c r="E13" s="17"/>
      <c r="F13" s="17"/>
      <c r="G13" s="17"/>
      <c r="H13" s="17"/>
      <c r="I13" s="17"/>
      <c r="J13" s="18"/>
      <c r="K13" s="17">
        <v>350</v>
      </c>
      <c r="L13" s="18"/>
    </row>
    <row r="14" spans="1:12" ht="15.75" customHeight="1">
      <c r="A14" s="16" t="s">
        <v>13</v>
      </c>
      <c r="B14" s="17">
        <v>1</v>
      </c>
      <c r="C14" s="17">
        <v>1</v>
      </c>
      <c r="D14" s="17">
        <v>1</v>
      </c>
      <c r="E14" s="17">
        <v>1</v>
      </c>
      <c r="F14" s="17">
        <v>1</v>
      </c>
      <c r="G14" s="17">
        <v>1</v>
      </c>
      <c r="H14" s="17">
        <v>1</v>
      </c>
      <c r="I14" s="17"/>
      <c r="J14" s="17">
        <f>I14+H14+G14+F14+E14+D14+C14+B14</f>
        <v>7</v>
      </c>
      <c r="K14" s="17">
        <v>250</v>
      </c>
      <c r="L14" s="18"/>
    </row>
    <row r="15" spans="1:12" ht="20.25" customHeight="1">
      <c r="A15" s="16" t="s">
        <v>14</v>
      </c>
      <c r="B15" s="17"/>
      <c r="C15" s="17"/>
      <c r="D15" s="17"/>
      <c r="E15" s="17"/>
      <c r="F15" s="17"/>
      <c r="G15" s="17">
        <v>2</v>
      </c>
      <c r="H15" s="17">
        <v>3.7</v>
      </c>
      <c r="I15" s="18"/>
      <c r="J15" s="17">
        <f>I15+H15+G15+F15+E15+D15+C15+B15</f>
        <v>5.7</v>
      </c>
      <c r="K15" s="17">
        <v>500</v>
      </c>
      <c r="L15" s="17">
        <f>K15*J15</f>
        <v>2850</v>
      </c>
    </row>
    <row r="16" spans="1:12" ht="18" customHeight="1">
      <c r="A16" s="16" t="s">
        <v>15</v>
      </c>
      <c r="B16" s="17"/>
      <c r="C16" s="17"/>
      <c r="D16" s="17"/>
      <c r="E16" s="17"/>
      <c r="F16" s="17"/>
      <c r="G16" s="17">
        <v>2</v>
      </c>
      <c r="H16" s="17">
        <v>3.7</v>
      </c>
      <c r="I16" s="17"/>
      <c r="J16" s="17">
        <f>I16+H16+G16+F16+E16+D16+C16+B16</f>
        <v>5.7</v>
      </c>
      <c r="K16" s="17">
        <v>250</v>
      </c>
      <c r="L16" s="17">
        <f>K16*J16</f>
        <v>1425</v>
      </c>
    </row>
    <row r="17" spans="1:12" ht="16.5" customHeight="1">
      <c r="A17" s="16" t="s">
        <v>16</v>
      </c>
      <c r="B17" s="17"/>
      <c r="C17" s="17"/>
      <c r="D17" s="17"/>
      <c r="E17" s="18"/>
      <c r="F17" s="17"/>
      <c r="G17" s="17"/>
      <c r="H17" s="17">
        <v>2</v>
      </c>
      <c r="I17" s="17"/>
      <c r="J17" s="17">
        <v>2</v>
      </c>
      <c r="K17" s="17">
        <v>500</v>
      </c>
      <c r="L17" s="17">
        <f>K17*J17</f>
        <v>1000</v>
      </c>
    </row>
    <row r="18" spans="1:12" ht="30.75" customHeight="1">
      <c r="A18" s="16" t="s">
        <v>17</v>
      </c>
      <c r="B18" s="17"/>
      <c r="C18" s="17"/>
      <c r="D18" s="17"/>
      <c r="E18" s="17"/>
      <c r="F18" s="17"/>
      <c r="G18" s="17"/>
      <c r="H18" s="17"/>
      <c r="I18" s="17">
        <v>2</v>
      </c>
      <c r="J18" s="17">
        <v>2</v>
      </c>
      <c r="K18" s="17">
        <v>350</v>
      </c>
      <c r="L18" s="17">
        <f>K18*J18</f>
        <v>700</v>
      </c>
    </row>
    <row r="19" spans="1:12" ht="20.25" customHeight="1">
      <c r="A19" s="19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6">
        <f>SUM(L8:L18)</f>
        <v>27711</v>
      </c>
    </row>
    <row r="20" spans="1:12" ht="18.75" customHeight="1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</row>
    <row r="21" spans="1:12" ht="18.75" customHeight="1">
      <c r="A21" s="16" t="s">
        <v>68</v>
      </c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</row>
    <row r="22" spans="1:12" ht="30" customHeight="1">
      <c r="A22" s="16" t="s">
        <v>20</v>
      </c>
      <c r="B22" s="17">
        <v>2</v>
      </c>
      <c r="C22" s="17">
        <v>2</v>
      </c>
      <c r="D22" s="17">
        <f>2+2.7*2</f>
        <v>7.4</v>
      </c>
      <c r="E22" s="17"/>
      <c r="F22" s="17">
        <f>2.7*2</f>
        <v>5.4</v>
      </c>
      <c r="G22" s="17">
        <v>2.7</v>
      </c>
      <c r="H22" s="18"/>
      <c r="I22" s="17"/>
      <c r="J22" s="17">
        <f aca="true" t="shared" si="0" ref="J22:J30">I22+H22+G22+F22+E22+D22+C22+B22</f>
        <v>19.5</v>
      </c>
      <c r="K22" s="17">
        <v>600</v>
      </c>
      <c r="L22" s="17">
        <f aca="true" t="shared" si="1" ref="L22:L29">K22*J22</f>
        <v>11700</v>
      </c>
    </row>
    <row r="23" spans="1:12" ht="17.25" customHeight="1">
      <c r="A23" s="16" t="s">
        <v>21</v>
      </c>
      <c r="B23" s="17">
        <v>2.2</v>
      </c>
      <c r="C23" s="17"/>
      <c r="D23" s="17"/>
      <c r="E23" s="17"/>
      <c r="F23" s="17"/>
      <c r="G23" s="17"/>
      <c r="H23" s="17"/>
      <c r="I23" s="17"/>
      <c r="J23" s="17">
        <f t="shared" si="0"/>
        <v>2.2</v>
      </c>
      <c r="K23" s="17">
        <v>7</v>
      </c>
      <c r="L23" s="17">
        <v>15400</v>
      </c>
    </row>
    <row r="24" spans="1:12" ht="30.75" customHeight="1">
      <c r="A24" s="16" t="s">
        <v>22</v>
      </c>
      <c r="B24" s="17">
        <v>2</v>
      </c>
      <c r="C24" s="17">
        <v>2</v>
      </c>
      <c r="D24" s="17">
        <f>2.7*2</f>
        <v>5.4</v>
      </c>
      <c r="E24" s="17"/>
      <c r="F24" s="17">
        <v>2.7</v>
      </c>
      <c r="G24" s="17"/>
      <c r="H24" s="17">
        <v>2.7</v>
      </c>
      <c r="I24" s="17">
        <v>2.7</v>
      </c>
      <c r="J24" s="17">
        <f t="shared" si="0"/>
        <v>17.5</v>
      </c>
      <c r="K24" s="17">
        <v>650</v>
      </c>
      <c r="L24" s="17">
        <f t="shared" si="1"/>
        <v>11375</v>
      </c>
    </row>
    <row r="25" spans="1:12" ht="31.5" customHeight="1">
      <c r="A25" s="16" t="s">
        <v>23</v>
      </c>
      <c r="B25" s="17">
        <v>3</v>
      </c>
      <c r="C25" s="17">
        <v>2.8</v>
      </c>
      <c r="D25" s="17">
        <f>1.8+1+0.3+1.7</f>
        <v>4.8</v>
      </c>
      <c r="E25" s="17"/>
      <c r="F25" s="17">
        <v>3</v>
      </c>
      <c r="G25" s="17">
        <v>2.7</v>
      </c>
      <c r="H25" s="17"/>
      <c r="I25" s="17">
        <f>2.7</f>
        <v>2.7</v>
      </c>
      <c r="J25" s="17">
        <f t="shared" si="0"/>
        <v>19</v>
      </c>
      <c r="K25" s="17">
        <v>800</v>
      </c>
      <c r="L25" s="17">
        <f t="shared" si="1"/>
        <v>15200</v>
      </c>
    </row>
    <row r="26" spans="1:12" ht="18" customHeight="1">
      <c r="A26" s="16" t="s">
        <v>24</v>
      </c>
      <c r="B26" s="17">
        <v>5</v>
      </c>
      <c r="C26" s="17">
        <v>5</v>
      </c>
      <c r="D26" s="17">
        <f>6.8+5</f>
        <v>11.8</v>
      </c>
      <c r="E26" s="17"/>
      <c r="F26" s="17">
        <f>2.7+4.7</f>
        <v>7.4</v>
      </c>
      <c r="G26" s="17"/>
      <c r="H26" s="17"/>
      <c r="I26" s="17">
        <f>2.7*3+5</f>
        <v>13.100000000000001</v>
      </c>
      <c r="J26" s="17">
        <f t="shared" si="0"/>
        <v>42.3</v>
      </c>
      <c r="K26" s="17">
        <v>100</v>
      </c>
      <c r="L26" s="17">
        <f t="shared" si="1"/>
        <v>4230</v>
      </c>
    </row>
    <row r="27" spans="1:12" ht="18" customHeight="1">
      <c r="A27" s="16" t="s">
        <v>25</v>
      </c>
      <c r="B27" s="17">
        <f>39.8+5.6</f>
        <v>45.4</v>
      </c>
      <c r="C27" s="17">
        <f>19.3+7.1+12.7</f>
        <v>39.099999999999994</v>
      </c>
      <c r="D27" s="17">
        <f>45+8.8</f>
        <v>53.8</v>
      </c>
      <c r="E27" s="17">
        <v>6.7</v>
      </c>
      <c r="F27" s="17">
        <f>29.5+8+1.7</f>
        <v>39.2</v>
      </c>
      <c r="G27" s="17">
        <f>(1.5*2+(0.9+0.5)*2)*2.7-1.4</f>
        <v>14.26</v>
      </c>
      <c r="H27" s="17">
        <f>(1.8*2+2*2)*2.7-1.4</f>
        <v>19.12</v>
      </c>
      <c r="I27" s="17">
        <v>46.7</v>
      </c>
      <c r="J27" s="17">
        <f t="shared" si="0"/>
        <v>264.28000000000003</v>
      </c>
      <c r="K27" s="17">
        <v>90</v>
      </c>
      <c r="L27" s="17">
        <f t="shared" si="1"/>
        <v>23785.200000000004</v>
      </c>
    </row>
    <row r="28" spans="1:12" ht="18" customHeight="1">
      <c r="A28" s="16" t="s">
        <v>26</v>
      </c>
      <c r="B28" s="17">
        <v>45.4</v>
      </c>
      <c r="C28" s="17">
        <v>39.1</v>
      </c>
      <c r="D28" s="17">
        <v>53.8</v>
      </c>
      <c r="E28" s="17">
        <v>6.7</v>
      </c>
      <c r="F28" s="17">
        <v>39.2</v>
      </c>
      <c r="G28" s="17">
        <v>14.26</v>
      </c>
      <c r="H28" s="17">
        <v>19.12</v>
      </c>
      <c r="I28" s="17">
        <v>46.7</v>
      </c>
      <c r="J28" s="17">
        <f t="shared" si="0"/>
        <v>264.28000000000003</v>
      </c>
      <c r="K28" s="17">
        <v>380</v>
      </c>
      <c r="L28" s="17">
        <f t="shared" si="1"/>
        <v>100426.40000000001</v>
      </c>
    </row>
    <row r="29" spans="1:12" ht="18" customHeight="1">
      <c r="A29" s="16" t="s">
        <v>27</v>
      </c>
      <c r="B29" s="17">
        <v>45.4</v>
      </c>
      <c r="C29" s="17">
        <v>39.1</v>
      </c>
      <c r="D29" s="17">
        <v>53.8</v>
      </c>
      <c r="E29" s="17">
        <v>6.7</v>
      </c>
      <c r="F29" s="17">
        <v>39.2</v>
      </c>
      <c r="G29" s="17"/>
      <c r="H29" s="17"/>
      <c r="I29" s="17">
        <v>46.7</v>
      </c>
      <c r="J29" s="17">
        <f t="shared" si="0"/>
        <v>230.9</v>
      </c>
      <c r="K29" s="17">
        <v>200</v>
      </c>
      <c r="L29" s="17">
        <f t="shared" si="1"/>
        <v>46180</v>
      </c>
    </row>
    <row r="30" spans="1:12" ht="18" customHeight="1">
      <c r="A30" s="16" t="s">
        <v>28</v>
      </c>
      <c r="B30" s="17">
        <f>45.4-5.6</f>
        <v>39.8</v>
      </c>
      <c r="C30" s="17">
        <f>39.1-12.65</f>
        <v>26.450000000000003</v>
      </c>
      <c r="D30" s="17">
        <f>53.8-8.8</f>
        <v>45</v>
      </c>
      <c r="E30" s="17">
        <v>6.7</v>
      </c>
      <c r="F30" s="17">
        <f>39.2-7.95</f>
        <v>31.250000000000004</v>
      </c>
      <c r="G30" s="17"/>
      <c r="H30" s="17"/>
      <c r="I30" s="17">
        <v>46.7</v>
      </c>
      <c r="J30" s="17">
        <f t="shared" si="0"/>
        <v>195.90000000000003</v>
      </c>
      <c r="K30" s="17">
        <v>150</v>
      </c>
      <c r="L30" s="18"/>
    </row>
    <row r="31" spans="1:12" ht="18" customHeight="1">
      <c r="A31" s="16" t="s">
        <v>29</v>
      </c>
      <c r="B31" s="18"/>
      <c r="C31" s="18"/>
      <c r="D31" s="18"/>
      <c r="E31" s="18"/>
      <c r="F31" s="18"/>
      <c r="G31" s="18"/>
      <c r="H31" s="18"/>
      <c r="I31" s="18"/>
      <c r="J31" s="18"/>
      <c r="K31" s="17">
        <v>1500</v>
      </c>
      <c r="L31" s="17"/>
    </row>
    <row r="32" spans="1:12" ht="18" customHeight="1">
      <c r="A32" s="16" t="s">
        <v>30</v>
      </c>
      <c r="B32" s="18"/>
      <c r="C32" s="18"/>
      <c r="D32" s="18"/>
      <c r="E32" s="18"/>
      <c r="F32" s="18"/>
      <c r="G32" s="17">
        <v>14.26</v>
      </c>
      <c r="H32" s="17">
        <v>19.12</v>
      </c>
      <c r="I32" s="18"/>
      <c r="J32" s="18"/>
      <c r="K32" s="17">
        <v>700</v>
      </c>
      <c r="L32" s="18"/>
    </row>
    <row r="33" spans="1:12" ht="18" customHeight="1">
      <c r="A33" s="16" t="s">
        <v>31</v>
      </c>
      <c r="B33" s="18"/>
      <c r="C33" s="18"/>
      <c r="D33" s="18"/>
      <c r="E33" s="18"/>
      <c r="F33" s="18"/>
      <c r="G33" s="18"/>
      <c r="H33" s="17">
        <v>4.9</v>
      </c>
      <c r="I33" s="18"/>
      <c r="J33" s="17">
        <f aca="true" t="shared" si="2" ref="J33:J39">I33+H33+G33+F33+E33+D33+C33+B33</f>
        <v>4.9</v>
      </c>
      <c r="K33" s="17">
        <v>1000</v>
      </c>
      <c r="L33" s="18"/>
    </row>
    <row r="34" spans="1:12" ht="18" customHeight="1">
      <c r="A34" s="16" t="s">
        <v>32</v>
      </c>
      <c r="B34" s="18"/>
      <c r="C34" s="18"/>
      <c r="D34" s="18"/>
      <c r="E34" s="18"/>
      <c r="F34" s="18"/>
      <c r="G34" s="18"/>
      <c r="H34" s="17">
        <v>19.12</v>
      </c>
      <c r="I34" s="18"/>
      <c r="J34" s="17">
        <f t="shared" si="2"/>
        <v>19.12</v>
      </c>
      <c r="K34" s="17">
        <v>250</v>
      </c>
      <c r="L34" s="17">
        <f>K34*J34</f>
        <v>4780</v>
      </c>
    </row>
    <row r="35" spans="1:12" ht="18" customHeight="1">
      <c r="A35" s="16" t="s">
        <v>33</v>
      </c>
      <c r="B35" s="17">
        <v>5.57</v>
      </c>
      <c r="C35" s="17">
        <v>12.65</v>
      </c>
      <c r="D35" s="17">
        <v>8.8</v>
      </c>
      <c r="E35" s="18"/>
      <c r="F35" s="17">
        <v>7.95</v>
      </c>
      <c r="G35" s="18"/>
      <c r="H35" s="18"/>
      <c r="I35" s="18"/>
      <c r="J35" s="17">
        <f t="shared" si="2"/>
        <v>34.97</v>
      </c>
      <c r="K35" s="17">
        <v>350</v>
      </c>
      <c r="L35" s="18"/>
    </row>
    <row r="36" spans="1:12" ht="18" customHeight="1">
      <c r="A36" s="16" t="s">
        <v>34</v>
      </c>
      <c r="B36" s="17">
        <f>(0.6+0.5)*1.9+1+2*2.7+0.6</f>
        <v>9.09</v>
      </c>
      <c r="C36" s="17">
        <f>(0.6+0.3)*2.7+0.5*1.8</f>
        <v>3.3299999999999996</v>
      </c>
      <c r="D36" s="17">
        <f>3*2.7+0.5*2.3+(0.3+1.2+1+0.3)*2.7+0.5*1.8</f>
        <v>17.71</v>
      </c>
      <c r="E36" s="18"/>
      <c r="F36" s="17">
        <f>(0.7+0.5)*2.7+1.8*0.5+4.2*2.7+(1.2+0.4)*2.7</f>
        <v>19.800000000000004</v>
      </c>
      <c r="G36" s="17">
        <f>1.5*2.7</f>
        <v>4.050000000000001</v>
      </c>
      <c r="H36" s="17">
        <f>(2+1.5)*2.7</f>
        <v>9.450000000000001</v>
      </c>
      <c r="I36" s="17">
        <f>(1.1+1.6+0.5+0.9)*2.7+(1+0.9)*0.7</f>
        <v>12.400000000000002</v>
      </c>
      <c r="J36" s="17">
        <f t="shared" si="2"/>
        <v>75.83000000000001</v>
      </c>
      <c r="K36" s="17">
        <v>100</v>
      </c>
      <c r="L36" s="17">
        <f>K36*J36</f>
        <v>7583.000000000001</v>
      </c>
    </row>
    <row r="37" spans="1:12" ht="18" customHeight="1">
      <c r="A37" s="16" t="s">
        <v>66</v>
      </c>
      <c r="B37" s="17">
        <v>1</v>
      </c>
      <c r="C37" s="17">
        <v>1</v>
      </c>
      <c r="D37" s="17">
        <v>1</v>
      </c>
      <c r="E37" s="18"/>
      <c r="F37" s="17">
        <v>1</v>
      </c>
      <c r="G37" s="17">
        <v>1</v>
      </c>
      <c r="H37" s="17">
        <v>1</v>
      </c>
      <c r="I37" s="18"/>
      <c r="J37" s="17">
        <f t="shared" si="2"/>
        <v>6</v>
      </c>
      <c r="K37" s="17">
        <v>2000</v>
      </c>
      <c r="L37" s="18"/>
    </row>
    <row r="38" spans="1:12" ht="18" customHeight="1">
      <c r="A38" s="16" t="s">
        <v>35</v>
      </c>
      <c r="B38" s="17">
        <v>5</v>
      </c>
      <c r="C38" s="17">
        <v>5</v>
      </c>
      <c r="D38" s="17">
        <f>5+6.8</f>
        <v>11.8</v>
      </c>
      <c r="E38" s="18"/>
      <c r="F38" s="17">
        <v>5</v>
      </c>
      <c r="G38" s="18"/>
      <c r="H38" s="18"/>
      <c r="I38" s="17">
        <f>5</f>
        <v>5</v>
      </c>
      <c r="J38" s="17">
        <f t="shared" si="2"/>
        <v>31.8</v>
      </c>
      <c r="K38" s="17">
        <v>500</v>
      </c>
      <c r="L38" s="17">
        <f>K38*J38</f>
        <v>15900</v>
      </c>
    </row>
    <row r="39" spans="1:12" ht="18" customHeight="1">
      <c r="A39" s="16" t="s">
        <v>36</v>
      </c>
      <c r="B39" s="17">
        <v>2.6</v>
      </c>
      <c r="C39" s="17">
        <v>2.6</v>
      </c>
      <c r="D39" s="17">
        <v>1</v>
      </c>
      <c r="E39" s="18"/>
      <c r="F39" s="18"/>
      <c r="G39" s="18"/>
      <c r="H39" s="18"/>
      <c r="I39" s="18"/>
      <c r="J39" s="17">
        <f t="shared" si="2"/>
        <v>6.2</v>
      </c>
      <c r="K39" s="17">
        <v>100</v>
      </c>
      <c r="L39" s="17">
        <f>K39*J39</f>
        <v>620</v>
      </c>
    </row>
    <row r="40" spans="1:12" ht="18" customHeight="1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6">
        <f>SUM(L22:L39)</f>
        <v>257179.60000000003</v>
      </c>
    </row>
    <row r="41" spans="1:12" ht="18" customHeight="1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</row>
    <row r="42" spans="1:12" ht="45.75" customHeight="1">
      <c r="A42" s="16" t="s">
        <v>61</v>
      </c>
      <c r="B42" s="17"/>
      <c r="C42" s="17"/>
      <c r="D42" s="17"/>
      <c r="E42" s="17"/>
      <c r="F42" s="17"/>
      <c r="G42" s="17"/>
      <c r="H42" s="17"/>
      <c r="I42" s="17"/>
      <c r="J42" s="17" t="s">
        <v>62</v>
      </c>
      <c r="K42" s="17"/>
      <c r="L42" s="16">
        <v>2000</v>
      </c>
    </row>
    <row r="43" spans="1:12" ht="18" customHeight="1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</row>
    <row r="44" spans="1:12" ht="35.25" customHeight="1">
      <c r="A44" s="25" t="s">
        <v>63</v>
      </c>
      <c r="B44" s="17"/>
      <c r="C44" s="17"/>
      <c r="D44" s="17"/>
      <c r="E44" s="17"/>
      <c r="F44" s="17"/>
      <c r="G44" s="17"/>
      <c r="H44" s="17"/>
      <c r="I44" s="17"/>
      <c r="J44" s="17"/>
      <c r="K44" s="20"/>
      <c r="L44" s="16">
        <f>L19+L40+L42</f>
        <v>286890.60000000003</v>
      </c>
    </row>
    <row r="45" spans="1:12" ht="18" customHeight="1">
      <c r="A45" s="25" t="s">
        <v>69</v>
      </c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6">
        <f>L44*0.93</f>
        <v>266808.25800000003</v>
      </c>
    </row>
    <row r="48" spans="1:12" ht="18" customHeight="1">
      <c r="A48" s="12" t="s">
        <v>72</v>
      </c>
      <c r="B48" s="28" t="s">
        <v>73</v>
      </c>
      <c r="C48" s="28"/>
      <c r="D48" s="28"/>
      <c r="E48" s="28"/>
      <c r="F48" s="28"/>
      <c r="G48" s="28"/>
      <c r="H48" s="28"/>
      <c r="I48" s="28"/>
      <c r="J48" s="28"/>
      <c r="K48" s="28"/>
      <c r="L48" s="28"/>
    </row>
  </sheetData>
  <sheetProtection/>
  <mergeCells count="6">
    <mergeCell ref="A1:E1"/>
    <mergeCell ref="A2:E2"/>
    <mergeCell ref="A3:E3"/>
    <mergeCell ref="A4:E4"/>
    <mergeCell ref="A5:E5"/>
    <mergeCell ref="B48:L48"/>
  </mergeCells>
  <printOptions/>
  <pageMargins left="0.75" right="0.75" top="1" bottom="1" header="0.5" footer="0.5"/>
  <pageSetup fitToHeight="1" fitToWidth="1" horizontalDpi="600" verticalDpi="600" orientation="landscape" scale="46" r:id="rId1"/>
  <headerFooter>
    <oddFooter>&amp;L&amp;"Helvetica,Regular"&amp;12&amp;K000000	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28"/>
  <sheetViews>
    <sheetView showGridLines="0" zoomScalePageLayoutView="0" workbookViewId="0" topLeftCell="A1">
      <pane xSplit="2" ySplit="7" topLeftCell="C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31" sqref="D31"/>
    </sheetView>
  </sheetViews>
  <sheetFormatPr defaultColWidth="12.19921875" defaultRowHeight="18" customHeight="1"/>
  <cols>
    <col min="1" max="1" width="0.203125" style="1" customWidth="1"/>
    <col min="2" max="2" width="30.5" style="1" customWidth="1"/>
    <col min="3" max="3" width="11.3984375" style="1" customWidth="1"/>
    <col min="4" max="4" width="11.296875" style="1" customWidth="1"/>
    <col min="5" max="5" width="11.19921875" style="1" customWidth="1"/>
    <col min="6" max="6" width="14.09765625" style="1" customWidth="1"/>
    <col min="7" max="7" width="12.19921875" style="1" hidden="1" customWidth="1"/>
    <col min="8" max="8" width="12.19921875" style="1" customWidth="1"/>
    <col min="9" max="9" width="10.69921875" style="1" customWidth="1"/>
    <col min="10" max="10" width="10.8984375" style="1" customWidth="1"/>
    <col min="11" max="11" width="12.59765625" style="1" customWidth="1"/>
    <col min="12" max="12" width="11" style="1" customWidth="1"/>
    <col min="13" max="13" width="9.796875" style="1" customWidth="1"/>
    <col min="14" max="14" width="10.69921875" style="1" customWidth="1"/>
    <col min="15" max="16384" width="12.19921875" style="1" customWidth="1"/>
  </cols>
  <sheetData>
    <row r="1" spans="3:12" ht="19.5" customHeight="1">
      <c r="C1" s="30" t="s">
        <v>58</v>
      </c>
      <c r="D1" s="30"/>
      <c r="E1" s="30"/>
      <c r="F1" s="30"/>
      <c r="G1" s="30"/>
      <c r="H1" s="11"/>
      <c r="I1" s="11"/>
      <c r="J1" s="11"/>
      <c r="K1" s="11"/>
      <c r="L1" s="11"/>
    </row>
    <row r="2" spans="3:12" ht="13.5" customHeight="1">
      <c r="C2" s="31" t="s">
        <v>60</v>
      </c>
      <c r="D2" s="31"/>
      <c r="E2" s="31"/>
      <c r="F2" s="31"/>
      <c r="G2" s="31"/>
      <c r="H2" s="11"/>
      <c r="I2" s="11"/>
      <c r="J2" s="11"/>
      <c r="K2" s="11"/>
      <c r="L2" s="11"/>
    </row>
    <row r="3" spans="3:12" ht="15" customHeight="1">
      <c r="C3" s="32" t="s">
        <v>74</v>
      </c>
      <c r="D3" s="33"/>
      <c r="E3" s="33"/>
      <c r="F3" s="33"/>
      <c r="G3" s="33"/>
      <c r="H3" s="11"/>
      <c r="I3" s="11"/>
      <c r="J3" s="11"/>
      <c r="K3" s="11"/>
      <c r="L3" s="11"/>
    </row>
    <row r="4" spans="3:12" ht="15.75" customHeight="1">
      <c r="C4" s="34" t="s">
        <v>75</v>
      </c>
      <c r="D4" s="33"/>
      <c r="E4" s="33"/>
      <c r="F4" s="33"/>
      <c r="G4" s="33"/>
      <c r="H4" s="11"/>
      <c r="I4" s="11"/>
      <c r="J4" s="11"/>
      <c r="K4" s="11"/>
      <c r="L4" s="11"/>
    </row>
    <row r="5" spans="3:12" ht="15.75" customHeight="1">
      <c r="C5" s="34"/>
      <c r="D5" s="33"/>
      <c r="E5" s="33"/>
      <c r="F5" s="33"/>
      <c r="G5" s="33"/>
      <c r="H5" s="11"/>
      <c r="I5" s="11"/>
      <c r="J5" s="11"/>
      <c r="K5" s="11"/>
      <c r="L5" s="11"/>
    </row>
    <row r="6" spans="3:12" ht="15.75" customHeight="1">
      <c r="C6" s="2"/>
      <c r="D6" s="3"/>
      <c r="E6" s="3"/>
      <c r="F6" s="3"/>
      <c r="G6" s="3"/>
      <c r="H6" s="11"/>
      <c r="I6" s="11"/>
      <c r="J6" s="11"/>
      <c r="K6" s="11"/>
      <c r="L6" s="11"/>
    </row>
    <row r="7" spans="2:14" ht="20.25" customHeight="1">
      <c r="B7" s="4" t="s">
        <v>37</v>
      </c>
      <c r="C7" s="4" t="s">
        <v>18</v>
      </c>
      <c r="D7" s="4" t="s">
        <v>1</v>
      </c>
      <c r="E7" s="4" t="s">
        <v>2</v>
      </c>
      <c r="F7" s="4" t="s">
        <v>3</v>
      </c>
      <c r="G7" s="5"/>
      <c r="H7" s="4" t="s">
        <v>4</v>
      </c>
      <c r="I7" s="4" t="s">
        <v>5</v>
      </c>
      <c r="J7" s="4" t="s">
        <v>6</v>
      </c>
      <c r="K7" s="4" t="s">
        <v>38</v>
      </c>
      <c r="L7" s="4" t="s">
        <v>19</v>
      </c>
      <c r="M7" s="4" t="s">
        <v>67</v>
      </c>
      <c r="N7" s="21" t="s">
        <v>65</v>
      </c>
    </row>
    <row r="8" spans="2:14" ht="20.25" customHeight="1">
      <c r="B8" s="6" t="s">
        <v>39</v>
      </c>
      <c r="C8" s="7"/>
      <c r="D8" s="7"/>
      <c r="E8" s="7"/>
      <c r="F8" s="7"/>
      <c r="G8" s="7"/>
      <c r="H8" s="7"/>
      <c r="I8" s="7"/>
      <c r="J8" s="7"/>
      <c r="K8" s="8">
        <v>1</v>
      </c>
      <c r="L8" s="8">
        <f aca="true" t="shared" si="0" ref="L8:L22">K8+J8+I8+H8+F8+E8+D8+C8</f>
        <v>1</v>
      </c>
      <c r="M8" s="8">
        <v>1500</v>
      </c>
      <c r="N8" s="8">
        <f aca="true" t="shared" si="1" ref="N8:N22">M8*L8</f>
        <v>1500</v>
      </c>
    </row>
    <row r="9" spans="2:14" ht="20.25" customHeight="1">
      <c r="B9" s="6" t="s">
        <v>40</v>
      </c>
      <c r="C9" s="7"/>
      <c r="D9" s="7"/>
      <c r="E9" s="7"/>
      <c r="F9" s="7"/>
      <c r="G9" s="7"/>
      <c r="H9" s="7"/>
      <c r="I9" s="7"/>
      <c r="J9" s="7"/>
      <c r="K9" s="8">
        <v>1</v>
      </c>
      <c r="L9" s="8">
        <f t="shared" si="0"/>
        <v>1</v>
      </c>
      <c r="M9" s="8">
        <v>1000</v>
      </c>
      <c r="N9" s="8">
        <f t="shared" si="1"/>
        <v>1000</v>
      </c>
    </row>
    <row r="10" spans="2:14" ht="20.25" customHeight="1">
      <c r="B10" s="6" t="s">
        <v>41</v>
      </c>
      <c r="C10" s="8">
        <f>5.5+3+1.5+C14+3+2.7+5+2+2+6</f>
        <v>43.3</v>
      </c>
      <c r="D10" s="8">
        <f>3+3.2+2.8+D14+3+3.2+6</f>
        <v>35.2</v>
      </c>
      <c r="E10" s="8">
        <f>(6+4+2.8+3+3.2)*2+E14</f>
        <v>70.5</v>
      </c>
      <c r="F10" s="8">
        <v>10</v>
      </c>
      <c r="G10" s="7"/>
      <c r="H10" s="8">
        <f>(4+2.8+3+3.2)*2+4+2.6+H14</f>
        <v>50.400000000000006</v>
      </c>
      <c r="I10" s="8">
        <f>(2.8+3+3.2+I14)*3</f>
        <v>37.5</v>
      </c>
      <c r="J10" s="8">
        <f>(3+3.2+J14)*3</f>
        <v>26.700000000000003</v>
      </c>
      <c r="K10" s="8">
        <f>(3+3.2+K14)*2</f>
        <v>26</v>
      </c>
      <c r="L10" s="8">
        <f t="shared" si="0"/>
        <v>299.6</v>
      </c>
      <c r="M10" s="8">
        <v>50</v>
      </c>
      <c r="N10" s="9">
        <f t="shared" si="1"/>
        <v>14980.000000000002</v>
      </c>
    </row>
    <row r="11" spans="2:14" ht="20.25" customHeight="1">
      <c r="B11" s="6" t="s">
        <v>42</v>
      </c>
      <c r="C11" s="8">
        <f>(5.5+3.2+3+5)*4</f>
        <v>66.8</v>
      </c>
      <c r="D11" s="7"/>
      <c r="E11" s="8">
        <f>(3+2.8+6+3+3.2)*9</f>
        <v>162</v>
      </c>
      <c r="F11" s="7"/>
      <c r="G11" s="7"/>
      <c r="H11" s="8">
        <f>(2+2.8+3+3.2)*2</f>
        <v>22</v>
      </c>
      <c r="I11" s="7"/>
      <c r="J11" s="7"/>
      <c r="K11" s="8">
        <f>3+3.2+10</f>
        <v>16.2</v>
      </c>
      <c r="L11" s="8">
        <f t="shared" si="0"/>
        <v>267</v>
      </c>
      <c r="M11" s="8">
        <v>50</v>
      </c>
      <c r="N11" s="8">
        <f t="shared" si="1"/>
        <v>13350</v>
      </c>
    </row>
    <row r="12" spans="2:14" ht="20.25" customHeight="1">
      <c r="B12" s="6" t="s">
        <v>43</v>
      </c>
      <c r="C12" s="8">
        <f>2.4+2.4+2.4+2.4</f>
        <v>9.6</v>
      </c>
      <c r="D12" s="7"/>
      <c r="E12" s="8">
        <v>2.5</v>
      </c>
      <c r="F12" s="8">
        <f>2.4+1.8</f>
        <v>4.2</v>
      </c>
      <c r="G12" s="7"/>
      <c r="H12" s="8">
        <f>2*6</f>
        <v>12</v>
      </c>
      <c r="I12" s="7"/>
      <c r="J12" s="7"/>
      <c r="K12" s="8">
        <f>2.4+2.4</f>
        <v>4.8</v>
      </c>
      <c r="L12" s="8">
        <f t="shared" si="0"/>
        <v>33.1</v>
      </c>
      <c r="M12" s="8">
        <v>170</v>
      </c>
      <c r="N12" s="8">
        <f t="shared" si="1"/>
        <v>5627</v>
      </c>
    </row>
    <row r="13" spans="2:14" ht="20.25" customHeight="1">
      <c r="B13" s="6" t="s">
        <v>44</v>
      </c>
      <c r="C13" s="8">
        <f>1.5+1.5</f>
        <v>3</v>
      </c>
      <c r="D13" s="8">
        <f>2+2+2+2+2+1.5+1.5+1</f>
        <v>14</v>
      </c>
      <c r="E13" s="8">
        <f>15*2</f>
        <v>30</v>
      </c>
      <c r="F13" s="7"/>
      <c r="G13" s="7"/>
      <c r="H13" s="8">
        <f>1+1+2+1.8</f>
        <v>5.8</v>
      </c>
      <c r="I13" s="8">
        <f>1.7+1.8</f>
        <v>3.5</v>
      </c>
      <c r="J13" s="8">
        <v>2.7</v>
      </c>
      <c r="K13" s="8">
        <f>2</f>
        <v>2</v>
      </c>
      <c r="L13" s="8">
        <f t="shared" si="0"/>
        <v>61</v>
      </c>
      <c r="M13" s="8">
        <v>120</v>
      </c>
      <c r="N13" s="8">
        <f t="shared" si="1"/>
        <v>7320</v>
      </c>
    </row>
    <row r="14" spans="2:14" ht="20.25" customHeight="1">
      <c r="B14" s="6" t="s">
        <v>45</v>
      </c>
      <c r="C14" s="8">
        <f>C13+C12</f>
        <v>12.6</v>
      </c>
      <c r="D14" s="8">
        <v>14</v>
      </c>
      <c r="E14" s="8">
        <f>2.5+30</f>
        <v>32.5</v>
      </c>
      <c r="F14" s="8">
        <v>4.2</v>
      </c>
      <c r="G14" s="7"/>
      <c r="H14" s="8">
        <f>12+5.8</f>
        <v>17.8</v>
      </c>
      <c r="I14" s="8">
        <v>3.5</v>
      </c>
      <c r="J14" s="8">
        <v>2.7</v>
      </c>
      <c r="K14" s="8">
        <f>K13+K12</f>
        <v>6.8</v>
      </c>
      <c r="L14" s="8">
        <f t="shared" si="0"/>
        <v>94.1</v>
      </c>
      <c r="M14" s="8">
        <v>50</v>
      </c>
      <c r="N14" s="8">
        <f t="shared" si="1"/>
        <v>4705</v>
      </c>
    </row>
    <row r="15" spans="2:14" ht="20.25" customHeight="1">
      <c r="B15" s="6" t="s">
        <v>46</v>
      </c>
      <c r="C15" s="8">
        <f>3+13</f>
        <v>16</v>
      </c>
      <c r="D15" s="7"/>
      <c r="E15" s="8">
        <v>15</v>
      </c>
      <c r="F15" s="8">
        <f>1+2</f>
        <v>3</v>
      </c>
      <c r="G15" s="7"/>
      <c r="H15" s="8">
        <v>12</v>
      </c>
      <c r="I15" s="7"/>
      <c r="J15" s="7"/>
      <c r="K15" s="8">
        <f>2+2</f>
        <v>4</v>
      </c>
      <c r="L15" s="8">
        <f t="shared" si="0"/>
        <v>50</v>
      </c>
      <c r="M15" s="8">
        <v>450</v>
      </c>
      <c r="N15" s="8">
        <f t="shared" si="1"/>
        <v>22500</v>
      </c>
    </row>
    <row r="16" spans="2:14" ht="20.25" customHeight="1">
      <c r="B16" s="6" t="s">
        <v>47</v>
      </c>
      <c r="C16" s="8">
        <v>5</v>
      </c>
      <c r="D16" s="8">
        <f>2+13</f>
        <v>15</v>
      </c>
      <c r="E16" s="8">
        <f>2+27</f>
        <v>29</v>
      </c>
      <c r="F16" s="7"/>
      <c r="G16" s="7"/>
      <c r="H16" s="8">
        <f>3+4</f>
        <v>7</v>
      </c>
      <c r="I16" s="8">
        <f>1+1</f>
        <v>2</v>
      </c>
      <c r="J16" s="8">
        <f>1+2</f>
        <v>3</v>
      </c>
      <c r="K16" s="8">
        <f>2+8</f>
        <v>10</v>
      </c>
      <c r="L16" s="8">
        <f t="shared" si="0"/>
        <v>71</v>
      </c>
      <c r="M16" s="8">
        <v>350</v>
      </c>
      <c r="N16" s="8">
        <f t="shared" si="1"/>
        <v>24850</v>
      </c>
    </row>
    <row r="17" spans="2:14" ht="20.25" customHeight="1">
      <c r="B17" s="6" t="s">
        <v>48</v>
      </c>
      <c r="C17" s="8">
        <v>4</v>
      </c>
      <c r="D17" s="8">
        <v>4</v>
      </c>
      <c r="E17" s="8">
        <v>6</v>
      </c>
      <c r="F17" s="8">
        <v>1</v>
      </c>
      <c r="G17" s="7"/>
      <c r="H17" s="8">
        <v>5</v>
      </c>
      <c r="I17" s="8">
        <v>2</v>
      </c>
      <c r="J17" s="8">
        <v>2</v>
      </c>
      <c r="K17" s="8">
        <v>5</v>
      </c>
      <c r="L17" s="8">
        <f t="shared" si="0"/>
        <v>29</v>
      </c>
      <c r="M17" s="8">
        <v>450</v>
      </c>
      <c r="N17" s="8">
        <f t="shared" si="1"/>
        <v>13050</v>
      </c>
    </row>
    <row r="18" spans="2:14" ht="20.25" customHeight="1">
      <c r="B18" s="6" t="s">
        <v>49</v>
      </c>
      <c r="C18" s="8">
        <f>16+5-3</f>
        <v>18</v>
      </c>
      <c r="D18" s="8">
        <f>15-3</f>
        <v>12</v>
      </c>
      <c r="E18" s="8">
        <f>15+29-5</f>
        <v>39</v>
      </c>
      <c r="F18" s="8">
        <v>3</v>
      </c>
      <c r="G18" s="7"/>
      <c r="H18" s="8">
        <f>12+7-1</f>
        <v>18</v>
      </c>
      <c r="I18" s="8">
        <f>2+2</f>
        <v>4</v>
      </c>
      <c r="J18" s="8">
        <f>3+2</f>
        <v>5</v>
      </c>
      <c r="K18" s="8">
        <f>4+10-1</f>
        <v>13</v>
      </c>
      <c r="L18" s="8">
        <f t="shared" si="0"/>
        <v>112</v>
      </c>
      <c r="M18" s="8">
        <v>150</v>
      </c>
      <c r="N18" s="8">
        <f t="shared" si="1"/>
        <v>16800</v>
      </c>
    </row>
    <row r="19" spans="2:14" ht="20.25" customHeight="1">
      <c r="B19" s="6" t="s">
        <v>50</v>
      </c>
      <c r="C19" s="8">
        <v>3</v>
      </c>
      <c r="D19" s="8">
        <v>3</v>
      </c>
      <c r="E19" s="8">
        <v>5</v>
      </c>
      <c r="F19" s="7"/>
      <c r="G19" s="7"/>
      <c r="H19" s="8">
        <v>1</v>
      </c>
      <c r="I19" s="7"/>
      <c r="J19" s="7"/>
      <c r="K19" s="8">
        <v>1</v>
      </c>
      <c r="L19" s="8">
        <f t="shared" si="0"/>
        <v>13</v>
      </c>
      <c r="M19" s="8">
        <v>500</v>
      </c>
      <c r="N19" s="8">
        <f t="shared" si="1"/>
        <v>6500</v>
      </c>
    </row>
    <row r="20" spans="2:14" ht="20.25" customHeight="1">
      <c r="B20" s="6" t="s">
        <v>51</v>
      </c>
      <c r="C20" s="8">
        <v>6</v>
      </c>
      <c r="D20" s="8">
        <v>8</v>
      </c>
      <c r="E20" s="8">
        <v>15</v>
      </c>
      <c r="F20" s="8">
        <v>2</v>
      </c>
      <c r="G20" s="7"/>
      <c r="H20" s="8">
        <v>6</v>
      </c>
      <c r="I20" s="8">
        <v>2</v>
      </c>
      <c r="J20" s="8">
        <v>4</v>
      </c>
      <c r="K20" s="7"/>
      <c r="L20" s="8">
        <f t="shared" si="0"/>
        <v>43</v>
      </c>
      <c r="M20" s="8">
        <v>150</v>
      </c>
      <c r="N20" s="8">
        <f t="shared" si="1"/>
        <v>6450</v>
      </c>
    </row>
    <row r="21" spans="2:14" ht="20.25" customHeight="1">
      <c r="B21" s="6" t="s">
        <v>52</v>
      </c>
      <c r="C21" s="8">
        <v>2</v>
      </c>
      <c r="D21" s="8">
        <v>2</v>
      </c>
      <c r="E21" s="7"/>
      <c r="F21" s="7"/>
      <c r="G21" s="7"/>
      <c r="H21" s="8">
        <v>2</v>
      </c>
      <c r="I21" s="8">
        <v>1</v>
      </c>
      <c r="J21" s="8">
        <v>1</v>
      </c>
      <c r="K21" s="8">
        <v>4</v>
      </c>
      <c r="L21" s="8">
        <f t="shared" si="0"/>
        <v>12</v>
      </c>
      <c r="M21" s="8">
        <v>600</v>
      </c>
      <c r="N21" s="8">
        <f t="shared" si="1"/>
        <v>7200</v>
      </c>
    </row>
    <row r="22" spans="2:14" ht="20.25" customHeight="1">
      <c r="B22" s="6" t="s">
        <v>53</v>
      </c>
      <c r="C22" s="8">
        <v>1</v>
      </c>
      <c r="D22" s="8">
        <v>1</v>
      </c>
      <c r="E22" s="8">
        <v>1</v>
      </c>
      <c r="F22" s="7"/>
      <c r="G22" s="7"/>
      <c r="H22" s="8">
        <v>1</v>
      </c>
      <c r="I22" s="7"/>
      <c r="J22" s="7"/>
      <c r="K22" s="8">
        <v>3</v>
      </c>
      <c r="L22" s="8">
        <f t="shared" si="0"/>
        <v>7</v>
      </c>
      <c r="M22" s="8">
        <v>600</v>
      </c>
      <c r="N22" s="8">
        <f t="shared" si="1"/>
        <v>4200</v>
      </c>
    </row>
    <row r="23" spans="2:14" ht="20.25" customHeight="1">
      <c r="B23" s="6" t="s">
        <v>54</v>
      </c>
      <c r="C23" s="7"/>
      <c r="D23" s="7"/>
      <c r="E23" s="7"/>
      <c r="F23" s="7"/>
      <c r="G23" s="7"/>
      <c r="H23" s="7"/>
      <c r="I23" s="8">
        <v>1</v>
      </c>
      <c r="J23" s="8">
        <v>1</v>
      </c>
      <c r="K23" s="7"/>
      <c r="L23" s="8">
        <f>K23+J23+I23+H23+F23+E23+D23+C23</f>
        <v>2</v>
      </c>
      <c r="M23" s="8">
        <v>750</v>
      </c>
      <c r="N23" s="8">
        <f>M23*L23</f>
        <v>1500</v>
      </c>
    </row>
    <row r="24" spans="2:14" ht="20.25" customHeight="1">
      <c r="B24" s="6" t="s">
        <v>55</v>
      </c>
      <c r="C24" s="7"/>
      <c r="D24" s="7"/>
      <c r="E24" s="7"/>
      <c r="F24" s="7"/>
      <c r="G24" s="7"/>
      <c r="H24" s="7"/>
      <c r="I24" s="8">
        <v>1</v>
      </c>
      <c r="J24" s="8">
        <v>1</v>
      </c>
      <c r="K24" s="7"/>
      <c r="L24" s="8">
        <f>K24+J24+I24+H24+F24+E24+D24+C24</f>
        <v>2</v>
      </c>
      <c r="M24" s="8">
        <v>400</v>
      </c>
      <c r="N24" s="8">
        <f>M24*L24</f>
        <v>800</v>
      </c>
    </row>
    <row r="25" spans="2:14" ht="20.25" customHeight="1">
      <c r="B25" s="6" t="s">
        <v>77</v>
      </c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10">
        <f>SUM(N8:N24)</f>
        <v>152332</v>
      </c>
    </row>
    <row r="26" spans="2:14" ht="18" customHeight="1">
      <c r="B26" s="23" t="s">
        <v>69</v>
      </c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4">
        <f>N25*0.93</f>
        <v>141668.76</v>
      </c>
    </row>
    <row r="28" spans="3:14" ht="18" customHeight="1">
      <c r="C28" s="29" t="s">
        <v>76</v>
      </c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</row>
  </sheetData>
  <sheetProtection/>
  <mergeCells count="6">
    <mergeCell ref="C28:N28"/>
    <mergeCell ref="C1:G1"/>
    <mergeCell ref="C2:G2"/>
    <mergeCell ref="C3:G3"/>
    <mergeCell ref="C4:G4"/>
    <mergeCell ref="C5:G5"/>
  </mergeCells>
  <printOptions/>
  <pageMargins left="0.75" right="0.75" top="1" bottom="1" header="0.5" footer="0.5"/>
  <pageSetup fitToHeight="1" fitToWidth="1" horizontalDpi="600" verticalDpi="600" orientation="landscape" scale="56" r:id="rId1"/>
  <headerFooter>
    <oddFooter>&amp;L&amp;"Helvetica,Regular"&amp;12&amp;K000000	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2015-05-25T08:16:49Z</cp:lastPrinted>
  <dcterms:created xsi:type="dcterms:W3CDTF">2015-05-22T08:02:09Z</dcterms:created>
  <dcterms:modified xsi:type="dcterms:W3CDTF">2015-06-25T10:40:21Z</dcterms:modified>
  <cp:category/>
  <cp:version/>
  <cp:contentType/>
  <cp:contentStatus/>
</cp:coreProperties>
</file>